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Pč" sheetId="1" r:id="rId1"/>
    <sheet name="qz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<sst xmlns="http://schemas.openxmlformats.org/spreadsheetml/2006/main" count="86" uniqueCount="72">
  <si>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průtok [t/h]</t>
  </si>
  <si>
    <t>zima max</t>
  </si>
  <si>
    <t>léto</t>
  </si>
  <si>
    <t>Tp [°C]</t>
  </si>
  <si>
    <t>Tv [°C]</t>
  </si>
  <si>
    <t>zima střed</t>
  </si>
  <si>
    <t>To [°C]</t>
  </si>
  <si>
    <t>PROVOZ</t>
  </si>
  <si>
    <t>Potrubí DN 1200</t>
  </si>
  <si>
    <t>izolace vrat [cm]</t>
  </si>
  <si>
    <t>délka [m]</t>
  </si>
  <si>
    <t>vnitřní průměr  - di [mm]</t>
  </si>
  <si>
    <t>tloušťka trubky - ti [mm]</t>
  </si>
  <si>
    <t>izolace přívod - tpřív [cm]</t>
  </si>
  <si>
    <t>Ro [kg/m3] přív</t>
  </si>
  <si>
    <t>Ro [kg/m3] vrat</t>
  </si>
  <si>
    <t>w [m/s] přív</t>
  </si>
  <si>
    <t>w [m/s] vrat</t>
  </si>
  <si>
    <t>ny [m2/s] přív</t>
  </si>
  <si>
    <t>ny [m2/s] vrat</t>
  </si>
  <si>
    <t>Re [-] přív</t>
  </si>
  <si>
    <t>Re [-] vrat</t>
  </si>
  <si>
    <t>Lambda [-] přív</t>
  </si>
  <si>
    <t>Lambda [-] vrat</t>
  </si>
  <si>
    <t>A přív</t>
  </si>
  <si>
    <t>A vrat</t>
  </si>
  <si>
    <t>B přív</t>
  </si>
  <si>
    <t>B vrat</t>
  </si>
  <si>
    <t>drsnost [mm]</t>
  </si>
  <si>
    <t>Lambda.L/d [-] přív</t>
  </si>
  <si>
    <t>Lambda.L/d [-] vrat</t>
  </si>
  <si>
    <t>Dzet [1/m] přív</t>
  </si>
  <si>
    <t>Dzet [1/m] vrat</t>
  </si>
  <si>
    <t>Dzet*L [-] přív</t>
  </si>
  <si>
    <t>Dzet*L [-] vrat</t>
  </si>
  <si>
    <t>dp [kPa] přív</t>
  </si>
  <si>
    <t>dp [kPa] vrat</t>
  </si>
  <si>
    <t>dp zdr [kPa]</t>
  </si>
  <si>
    <t>Eta č [%]</t>
  </si>
  <si>
    <t>dp spot [kPa] v1</t>
  </si>
  <si>
    <t>dp spot [kPa] v2</t>
  </si>
  <si>
    <t>dp spot [kPa] v3</t>
  </si>
  <si>
    <t>Pč [kW] v1</t>
  </si>
  <si>
    <t>dPč [kPa] v1</t>
  </si>
  <si>
    <t>dPč [kPa] v2</t>
  </si>
  <si>
    <t>dPč [kPa] v3</t>
  </si>
  <si>
    <t>Yč [J/kg] v1</t>
  </si>
  <si>
    <t>Pč [kW] v2</t>
  </si>
  <si>
    <t>Pč [kW] v3</t>
  </si>
  <si>
    <t>Hydraulic.parametry</t>
  </si>
  <si>
    <t>Tepelné parametry</t>
  </si>
  <si>
    <t>Q zdr [MW]</t>
  </si>
  <si>
    <t>cpv [J/kg.K]</t>
  </si>
  <si>
    <t>lamda izolace [W/mK]</t>
  </si>
  <si>
    <t>lamda trubky [W/mK]</t>
  </si>
  <si>
    <t>alfa okolí [W/m2K]</t>
  </si>
  <si>
    <t>alfa voda [W/m2K]</t>
  </si>
  <si>
    <t>Rc [mK/W] přív</t>
  </si>
  <si>
    <t>Rc [mK/W] vrat</t>
  </si>
  <si>
    <t>qz [W/m] přív</t>
  </si>
  <si>
    <t>qz [W/m] vrat</t>
  </si>
  <si>
    <t>qz* [W/m] přív</t>
  </si>
  <si>
    <t>qz* [W/m] vrat</t>
  </si>
  <si>
    <t>koef.zvyš.ztrát</t>
  </si>
  <si>
    <t>Qztr [MW] přív</t>
  </si>
  <si>
    <t>Qztr [MW] vrat</t>
  </si>
  <si>
    <t>Qztr celk [MW]</t>
  </si>
  <si>
    <t>Q tření [kW] přív</t>
  </si>
  <si>
    <t>Q tření [kW] vrat</t>
  </si>
  <si>
    <t>Q tření [kW] celk</t>
  </si>
  <si>
    <t>dT ochl [°C] přív</t>
  </si>
  <si>
    <t>dT ochl [°C] vrat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</si>
</sst>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E+00"/>
    <numFmt numFmtId="166" formatCode="0.0000"/>
    <numFmt numFmtId="167" formatCode="0.000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1" fillId="0" borderId="33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/>
    </xf>
    <xf numFmtId="0" fontId="1" fillId="2" borderId="30" xfId="0" applyFon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2" borderId="19" xfId="0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2" borderId="35" xfId="0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1" fillId="0" borderId="39" xfId="0" applyNumberFormat="1" applyFont="1" applyBorder="1" applyAlignment="1">
      <alignment horizontal="center"/>
    </xf>
    <xf numFmtId="0" fontId="1" fillId="2" borderId="4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workbookViewId="0" topLeftCell="A9">
      <selection activeCell="H28" sqref="H28"/>
    </sheetView>
  </sheetViews>
  <sheetFormatPr defaultColWidth="9.00390625" defaultRowHeight="12.75"/>
  <cols>
    <col min="2" max="2" width="21.25390625" style="0" customWidth="1"/>
    <col min="3" max="3" width="10.625" style="0" customWidth="1"/>
    <col min="4" max="4" width="10.25390625" style="0" customWidth="1"/>
    <col min="5" max="5" width="9.75390625" style="0" customWidth="1"/>
  </cols>
  <sheetData>
    <row r="2" ht="13.5" thickBot="1"/>
    <row r="3" spans="2:3" ht="13.5" thickBot="1">
      <c r="B3" s="16" t="s">
        <v>8</v>
      </c>
      <c r="C3" s="17"/>
    </row>
    <row r="4" spans="2:3" ht="12.75">
      <c r="B4" s="18" t="s">
        <v>11</v>
      </c>
      <c r="C4" s="2">
        <v>1200</v>
      </c>
    </row>
    <row r="5" spans="2:3" ht="12.75">
      <c r="B5" s="18" t="s">
        <v>12</v>
      </c>
      <c r="C5" s="2">
        <v>10</v>
      </c>
    </row>
    <row r="6" spans="2:3" ht="12.75">
      <c r="B6" s="18" t="s">
        <v>13</v>
      </c>
      <c r="C6" s="2">
        <v>30</v>
      </c>
    </row>
    <row r="7" spans="2:3" ht="12.75">
      <c r="B7" s="18" t="s">
        <v>9</v>
      </c>
      <c r="C7" s="2">
        <v>20</v>
      </c>
    </row>
    <row r="8" spans="2:3" ht="13.5" thickBot="1">
      <c r="B8" s="19" t="s">
        <v>10</v>
      </c>
      <c r="C8" s="4">
        <v>34000</v>
      </c>
    </row>
    <row r="9" spans="1:3" ht="13.5" thickBot="1">
      <c r="A9" s="25"/>
      <c r="B9" s="26"/>
      <c r="C9" s="26"/>
    </row>
    <row r="10" spans="2:13" ht="13.5" thickBot="1">
      <c r="B10" s="16" t="s">
        <v>7</v>
      </c>
      <c r="C10" s="13" t="s">
        <v>1</v>
      </c>
      <c r="D10" s="14" t="s">
        <v>5</v>
      </c>
      <c r="E10" s="15" t="s">
        <v>2</v>
      </c>
      <c r="J10" t="s">
        <v>24</v>
      </c>
      <c r="K10">
        <f aca="true" t="shared" si="0" ref="K10:M11">(2.457*LN(1/((7/C30)^0.9+0.27*($C$17/$C$4))))^16</f>
        <v>4.446133602684803E+22</v>
      </c>
      <c r="L10">
        <f t="shared" si="0"/>
        <v>4.243898801957624E+22</v>
      </c>
      <c r="M10">
        <f t="shared" si="0"/>
        <v>3.2297025378923215E+22</v>
      </c>
    </row>
    <row r="11" spans="2:13" ht="12.75">
      <c r="B11" s="10" t="s">
        <v>6</v>
      </c>
      <c r="C11" s="7">
        <v>-10</v>
      </c>
      <c r="D11" s="8">
        <v>0</v>
      </c>
      <c r="E11" s="9">
        <v>20</v>
      </c>
      <c r="J11" t="s">
        <v>25</v>
      </c>
      <c r="K11">
        <f t="shared" si="0"/>
        <v>3.883032096670394E+22</v>
      </c>
      <c r="L11">
        <f t="shared" si="0"/>
        <v>3.5992447172251526E+22</v>
      </c>
      <c r="M11">
        <f t="shared" si="0"/>
        <v>2.73632420927691E+22</v>
      </c>
    </row>
    <row r="12" spans="2:13" ht="12.75">
      <c r="B12" s="11" t="s">
        <v>0</v>
      </c>
      <c r="C12" s="5">
        <v>7500</v>
      </c>
      <c r="D12" s="1">
        <v>6000</v>
      </c>
      <c r="E12" s="2">
        <v>3000</v>
      </c>
      <c r="J12" t="s">
        <v>26</v>
      </c>
      <c r="K12">
        <f aca="true" t="shared" si="1" ref="K12:M13">(37530/C30)^16</f>
        <v>1.640516635693399E-40</v>
      </c>
      <c r="L12">
        <f t="shared" si="1"/>
        <v>1.9301340626329953E-38</v>
      </c>
      <c r="M12">
        <f t="shared" si="1"/>
        <v>2.624197261396346E-31</v>
      </c>
    </row>
    <row r="13" spans="2:13" ht="12.75">
      <c r="B13" s="11" t="s">
        <v>3</v>
      </c>
      <c r="C13" s="5">
        <v>145</v>
      </c>
      <c r="D13" s="1">
        <v>135</v>
      </c>
      <c r="E13" s="2">
        <v>97</v>
      </c>
      <c r="J13" t="s">
        <v>27</v>
      </c>
      <c r="K13">
        <f t="shared" si="1"/>
        <v>1.7684560683131944E-35</v>
      </c>
      <c r="L13">
        <f t="shared" si="1"/>
        <v>1.5422573374233313E-33</v>
      </c>
      <c r="M13">
        <f t="shared" si="1"/>
        <v>1.2752558858801105E-28</v>
      </c>
    </row>
    <row r="14" spans="2:5" ht="13.5" thickBot="1">
      <c r="B14" s="12" t="s">
        <v>4</v>
      </c>
      <c r="C14" s="6">
        <v>70</v>
      </c>
      <c r="D14" s="3">
        <v>66</v>
      </c>
      <c r="E14" s="4">
        <v>65</v>
      </c>
    </row>
    <row r="15" ht="13.5" thickBot="1"/>
    <row r="16" spans="2:3" ht="13.5" thickBot="1">
      <c r="B16" s="16" t="s">
        <v>49</v>
      </c>
      <c r="C16" s="17"/>
    </row>
    <row r="17" spans="2:3" ht="12.75">
      <c r="B17" s="57" t="s">
        <v>28</v>
      </c>
      <c r="C17" s="58">
        <v>0.1</v>
      </c>
    </row>
    <row r="18" spans="2:3" ht="12.75">
      <c r="B18" s="18" t="s">
        <v>37</v>
      </c>
      <c r="C18" s="2">
        <v>200</v>
      </c>
    </row>
    <row r="19" spans="2:3" ht="12.75">
      <c r="B19" s="18" t="s">
        <v>39</v>
      </c>
      <c r="C19" s="2">
        <v>200</v>
      </c>
    </row>
    <row r="20" spans="2:3" ht="12.75">
      <c r="B20" s="18" t="s">
        <v>40</v>
      </c>
      <c r="C20" s="2">
        <v>0</v>
      </c>
    </row>
    <row r="21" spans="2:3" ht="12.75">
      <c r="B21" s="18" t="s">
        <v>41</v>
      </c>
      <c r="C21" s="2">
        <v>-200</v>
      </c>
    </row>
    <row r="22" spans="2:3" ht="13.5" thickBot="1">
      <c r="B22" s="19" t="s">
        <v>38</v>
      </c>
      <c r="C22" s="4">
        <v>65</v>
      </c>
    </row>
    <row r="24" spans="2:5" ht="12.75">
      <c r="B24" s="20" t="s">
        <v>14</v>
      </c>
      <c r="C24" s="30">
        <f aca="true" t="shared" si="2" ref="C24:E25">1006-0.26*C13-0.0022*C13^2</f>
        <v>922.045</v>
      </c>
      <c r="D24" s="30">
        <f t="shared" si="2"/>
        <v>930.805</v>
      </c>
      <c r="E24" s="31">
        <f t="shared" si="2"/>
        <v>960.0802</v>
      </c>
    </row>
    <row r="25" spans="2:5" ht="12.75">
      <c r="B25" s="21" t="s">
        <v>15</v>
      </c>
      <c r="C25" s="32">
        <f t="shared" si="2"/>
        <v>977.02</v>
      </c>
      <c r="D25" s="32">
        <f t="shared" si="2"/>
        <v>979.2568</v>
      </c>
      <c r="E25" s="33">
        <f t="shared" si="2"/>
        <v>979.8050000000001</v>
      </c>
    </row>
    <row r="26" spans="2:5" ht="12.75">
      <c r="B26" s="20" t="s">
        <v>16</v>
      </c>
      <c r="C26" s="34">
        <f aca="true" t="shared" si="3" ref="C26:E27">4*C$12/3.6/C24/3.14/($C$4/1000)^2</f>
        <v>1.99882372965308</v>
      </c>
      <c r="D26" s="34">
        <f t="shared" si="3"/>
        <v>1.5840099060988915</v>
      </c>
      <c r="E26" s="35">
        <f t="shared" si="3"/>
        <v>0.7678547795519471</v>
      </c>
    </row>
    <row r="27" spans="2:5" ht="12.75">
      <c r="B27" s="21" t="s">
        <v>17</v>
      </c>
      <c r="C27" s="36">
        <f t="shared" si="3"/>
        <v>1.8863538369818156</v>
      </c>
      <c r="D27" s="36">
        <f t="shared" si="3"/>
        <v>1.5056360503663377</v>
      </c>
      <c r="E27" s="37">
        <f t="shared" si="3"/>
        <v>0.7523968241876591</v>
      </c>
    </row>
    <row r="28" spans="2:5" ht="12.75">
      <c r="B28" s="20" t="s">
        <v>18</v>
      </c>
      <c r="C28" s="38">
        <f aca="true" t="shared" si="4" ref="C28:E29">19.8*10^-6*C13^-0.915</f>
        <v>2.0845555277360272E-07</v>
      </c>
      <c r="D28" s="38">
        <f t="shared" si="4"/>
        <v>2.225408754032937E-07</v>
      </c>
      <c r="E28" s="39">
        <f t="shared" si="4"/>
        <v>3.0114042113167567E-07</v>
      </c>
    </row>
    <row r="29" spans="2:5" ht="12.75">
      <c r="B29" s="21" t="s">
        <v>19</v>
      </c>
      <c r="C29" s="40">
        <f t="shared" si="4"/>
        <v>4.058826466695454E-07</v>
      </c>
      <c r="D29" s="40">
        <f t="shared" si="4"/>
        <v>4.2833394116756437E-07</v>
      </c>
      <c r="E29" s="7">
        <f t="shared" si="4"/>
        <v>4.3435964442411E-07</v>
      </c>
    </row>
    <row r="30" spans="2:5" ht="12.75">
      <c r="B30" s="22" t="s">
        <v>20</v>
      </c>
      <c r="C30" s="41">
        <f aca="true" t="shared" si="5" ref="C30:E31">C26*$C$4/1000/C28</f>
        <v>11506474.371487387</v>
      </c>
      <c r="D30" s="41">
        <f t="shared" si="5"/>
        <v>8541405.635589303</v>
      </c>
      <c r="E30" s="42">
        <f t="shared" si="5"/>
        <v>3059787.6299689338</v>
      </c>
    </row>
    <row r="31" spans="2:5" ht="12.75">
      <c r="B31" s="23" t="s">
        <v>21</v>
      </c>
      <c r="C31" s="43">
        <f t="shared" si="5"/>
        <v>5577042.090742889</v>
      </c>
      <c r="D31" s="43">
        <f t="shared" si="5"/>
        <v>4218118.357640958</v>
      </c>
      <c r="E31" s="44">
        <f t="shared" si="5"/>
        <v>2078637.3702424807</v>
      </c>
    </row>
    <row r="32" spans="2:5" ht="12.75">
      <c r="B32" s="20" t="s">
        <v>22</v>
      </c>
      <c r="C32" s="38">
        <f aca="true" t="shared" si="6" ref="C32:E33">8*((8/C30)^12+1/(K10+K12)^1.5)^(1/12)</f>
        <v>0.01180571170056</v>
      </c>
      <c r="D32" s="38">
        <f t="shared" si="6"/>
        <v>0.011874610127233322</v>
      </c>
      <c r="E32" s="39">
        <f t="shared" si="6"/>
        <v>0.012286966421028615</v>
      </c>
    </row>
    <row r="33" spans="2:5" ht="12.75">
      <c r="B33" s="27" t="s">
        <v>23</v>
      </c>
      <c r="C33" s="24">
        <f t="shared" si="6"/>
        <v>0.012007251696938486</v>
      </c>
      <c r="D33" s="24">
        <f t="shared" si="6"/>
        <v>0.012121700936545054</v>
      </c>
      <c r="E33" s="45">
        <f t="shared" si="6"/>
        <v>0.012544231000325354</v>
      </c>
    </row>
    <row r="34" spans="2:5" ht="12.75">
      <c r="B34" s="27" t="s">
        <v>29</v>
      </c>
      <c r="C34" s="24">
        <f aca="true" t="shared" si="7" ref="C34:E35">C32*$C$8/$C$4*1000</f>
        <v>334.4951648492</v>
      </c>
      <c r="D34" s="24">
        <f t="shared" si="7"/>
        <v>336.44728693827744</v>
      </c>
      <c r="E34" s="45">
        <f t="shared" si="7"/>
        <v>348.1307152624774</v>
      </c>
    </row>
    <row r="35" spans="2:5" ht="12.75">
      <c r="B35" s="21" t="s">
        <v>30</v>
      </c>
      <c r="C35" s="40">
        <f t="shared" si="7"/>
        <v>340.2054647465904</v>
      </c>
      <c r="D35" s="40">
        <f t="shared" si="7"/>
        <v>343.4481932021099</v>
      </c>
      <c r="E35" s="7">
        <f t="shared" si="7"/>
        <v>355.41987834255167</v>
      </c>
    </row>
    <row r="36" spans="2:5" ht="12.75">
      <c r="B36" s="22" t="s">
        <v>31</v>
      </c>
      <c r="C36" s="38">
        <f aca="true" t="shared" si="8" ref="C36:E37">ROUND(IF($C$4/1000&lt;0.4,0.011+0.001754*($C$4/1000)^-0.696,-0.0235*($C$4/1000)^3+0.073*($C$4/1000)^2-0.0756*$C$4/1000+0.0328),5)</f>
        <v>0.00659</v>
      </c>
      <c r="D36" s="38">
        <f t="shared" si="8"/>
        <v>0.00659</v>
      </c>
      <c r="E36" s="39">
        <f t="shared" si="8"/>
        <v>0.00659</v>
      </c>
    </row>
    <row r="37" spans="2:5" ht="12.75">
      <c r="B37" s="28" t="s">
        <v>32</v>
      </c>
      <c r="C37" s="24">
        <f t="shared" si="8"/>
        <v>0.00659</v>
      </c>
      <c r="D37" s="24">
        <f t="shared" si="8"/>
        <v>0.00659</v>
      </c>
      <c r="E37" s="45">
        <f t="shared" si="8"/>
        <v>0.00659</v>
      </c>
    </row>
    <row r="38" spans="2:5" ht="12.75">
      <c r="B38" s="28" t="s">
        <v>33</v>
      </c>
      <c r="C38" s="24">
        <f aca="true" t="shared" si="9" ref="C38:E39">C36*$C$8</f>
        <v>224.06</v>
      </c>
      <c r="D38" s="24">
        <f t="shared" si="9"/>
        <v>224.06</v>
      </c>
      <c r="E38" s="45">
        <f t="shared" si="9"/>
        <v>224.06</v>
      </c>
    </row>
    <row r="39" spans="2:5" ht="12.75">
      <c r="B39" s="23" t="s">
        <v>34</v>
      </c>
      <c r="C39" s="40">
        <f t="shared" si="9"/>
        <v>224.06</v>
      </c>
      <c r="D39" s="40">
        <f t="shared" si="9"/>
        <v>224.06</v>
      </c>
      <c r="E39" s="7">
        <f t="shared" si="9"/>
        <v>224.06</v>
      </c>
    </row>
    <row r="40" spans="2:5" ht="13.5" thickBot="1">
      <c r="B40" s="29"/>
      <c r="C40" s="24"/>
      <c r="D40" s="24"/>
      <c r="E40" s="24"/>
    </row>
    <row r="41" spans="2:5" ht="12.75">
      <c r="B41" s="54" t="s">
        <v>35</v>
      </c>
      <c r="C41" s="46">
        <f aca="true" t="shared" si="10" ref="C41:E42">(C34+C38)*C24*C26^2/2/1000</f>
        <v>1028.814761202588</v>
      </c>
      <c r="D41" s="47">
        <f t="shared" si="10"/>
        <v>654.5242797172426</v>
      </c>
      <c r="E41" s="48">
        <f t="shared" si="10"/>
        <v>161.94834259610923</v>
      </c>
    </row>
    <row r="42" spans="2:5" ht="13.5" thickBot="1">
      <c r="B42" s="55" t="s">
        <v>36</v>
      </c>
      <c r="C42" s="49">
        <f t="shared" si="10"/>
        <v>980.8514726544605</v>
      </c>
      <c r="D42" s="50">
        <f t="shared" si="10"/>
        <v>629.9103522081867</v>
      </c>
      <c r="E42" s="51">
        <f t="shared" si="10"/>
        <v>160.70963823483828</v>
      </c>
    </row>
    <row r="43" spans="3:5" ht="12.75">
      <c r="C43" s="52"/>
      <c r="D43" s="52"/>
      <c r="E43" s="52"/>
    </row>
    <row r="44" spans="2:5" ht="12.75">
      <c r="B44" t="s">
        <v>43</v>
      </c>
      <c r="C44" s="52">
        <f aca="true" t="shared" si="11" ref="C44:E46">$C$18+C$41+C$42+$C19</f>
        <v>2409.6662338570486</v>
      </c>
      <c r="D44" s="52">
        <f t="shared" si="11"/>
        <v>1684.4346319254294</v>
      </c>
      <c r="E44" s="52">
        <f t="shared" si="11"/>
        <v>722.6579808309475</v>
      </c>
    </row>
    <row r="45" spans="2:5" ht="12.75">
      <c r="B45" t="s">
        <v>44</v>
      </c>
      <c r="C45" s="52">
        <f t="shared" si="11"/>
        <v>2209.6662338570486</v>
      </c>
      <c r="D45" s="52">
        <f t="shared" si="11"/>
        <v>1484.4346319254294</v>
      </c>
      <c r="E45" s="52">
        <f t="shared" si="11"/>
        <v>522.6579808309475</v>
      </c>
    </row>
    <row r="46" spans="2:5" ht="12.75">
      <c r="B46" t="s">
        <v>45</v>
      </c>
      <c r="C46" s="52">
        <f t="shared" si="11"/>
        <v>2009.6662338570486</v>
      </c>
      <c r="D46" s="52">
        <f t="shared" si="11"/>
        <v>1284.4346319254294</v>
      </c>
      <c r="E46" s="52">
        <f t="shared" si="11"/>
        <v>322.6579808309475</v>
      </c>
    </row>
    <row r="47" spans="2:5" ht="13.5" thickBot="1">
      <c r="B47" t="s">
        <v>46</v>
      </c>
      <c r="C47" s="52">
        <f>C44/C25*1000</f>
        <v>2466.3427911987974</v>
      </c>
      <c r="D47" s="52">
        <f>D44/D25*1000</f>
        <v>1720.115328201376</v>
      </c>
      <c r="E47" s="52">
        <f>E44/E25*1000</f>
        <v>737.5528608559331</v>
      </c>
    </row>
    <row r="48" spans="2:5" ht="13.5" thickBot="1">
      <c r="B48" s="56" t="s">
        <v>42</v>
      </c>
      <c r="C48" s="53">
        <f aca="true" t="shared" si="12" ref="C48:E50">(C44/C$25*1000)*C$12/3.6/$C$22*100/1000</f>
        <v>7904.944843585889</v>
      </c>
      <c r="D48" s="53">
        <f t="shared" si="12"/>
        <v>4410.552123593273</v>
      </c>
      <c r="E48" s="53">
        <f t="shared" si="12"/>
        <v>945.5805908409399</v>
      </c>
    </row>
    <row r="49" spans="2:5" ht="13.5" thickBot="1">
      <c r="B49" s="56" t="s">
        <v>47</v>
      </c>
      <c r="C49" s="53">
        <f t="shared" si="12"/>
        <v>7248.8419582553515</v>
      </c>
      <c r="D49" s="53">
        <f t="shared" si="12"/>
        <v>3886.868741644316</v>
      </c>
      <c r="E49" s="53">
        <f t="shared" si="12"/>
        <v>683.8854000527152</v>
      </c>
    </row>
    <row r="50" spans="2:5" ht="13.5" thickBot="1">
      <c r="B50" s="56" t="s">
        <v>48</v>
      </c>
      <c r="C50" s="53">
        <f t="shared" si="12"/>
        <v>6592.739072924814</v>
      </c>
      <c r="D50" s="53">
        <f t="shared" si="12"/>
        <v>3363.185359695359</v>
      </c>
      <c r="E50" s="53">
        <f t="shared" si="12"/>
        <v>422.19020926449065</v>
      </c>
    </row>
    <row r="51" ht="13.5" thickBot="1"/>
    <row r="52" spans="2:5" ht="12.75">
      <c r="B52" s="74" t="s">
        <v>67</v>
      </c>
      <c r="C52" s="75">
        <f>C41/C24*C$12/3.6</f>
        <v>2324.5764424065255</v>
      </c>
      <c r="D52" s="75">
        <f>D41/D24*D$12/3.6</f>
        <v>1171.968134602562</v>
      </c>
      <c r="E52" s="76">
        <f>E41/E24*E$12/3.6</f>
        <v>140.56841518388188</v>
      </c>
    </row>
    <row r="53" spans="2:5" ht="13.5" thickBot="1">
      <c r="B53" s="77" t="s">
        <v>68</v>
      </c>
      <c r="C53" s="78">
        <f>C42/C25*C$12/3.6</f>
        <v>2091.503314190217</v>
      </c>
      <c r="D53" s="78">
        <f>D42/D25*D$12/3.6</f>
        <v>1072.089146599385</v>
      </c>
      <c r="E53" s="79">
        <f>E42/E25*E$12/3.6</f>
        <v>136.6850531779608</v>
      </c>
    </row>
    <row r="54" spans="2:5" ht="13.5" thickBot="1">
      <c r="B54" s="80" t="s">
        <v>69</v>
      </c>
      <c r="C54" s="81">
        <f>C52+C53</f>
        <v>4416.079756596742</v>
      </c>
      <c r="D54" s="81">
        <f>D52+D53</f>
        <v>2244.0572812019473</v>
      </c>
      <c r="E54" s="82">
        <f>E52+E53</f>
        <v>277.2534683618427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7"/>
  <sheetViews>
    <sheetView tabSelected="1" workbookViewId="0" topLeftCell="A9">
      <selection activeCell="D50" sqref="D50"/>
    </sheetView>
  </sheetViews>
  <sheetFormatPr defaultColWidth="9.00390625" defaultRowHeight="12.75"/>
  <cols>
    <col min="2" max="2" width="21.25390625" style="0" customWidth="1"/>
    <col min="3" max="3" width="10.625" style="0" customWidth="1"/>
  </cols>
  <sheetData>
    <row r="2" ht="13.5" thickBot="1"/>
    <row r="3" spans="2:3" ht="13.5" thickBot="1">
      <c r="B3" s="16" t="s">
        <v>8</v>
      </c>
      <c r="C3" s="17"/>
    </row>
    <row r="4" spans="2:3" ht="12.75">
      <c r="B4" s="18" t="s">
        <v>11</v>
      </c>
      <c r="C4" s="2">
        <v>1200</v>
      </c>
    </row>
    <row r="5" spans="2:3" ht="12.75">
      <c r="B5" s="18" t="s">
        <v>12</v>
      </c>
      <c r="C5" s="2">
        <v>10</v>
      </c>
    </row>
    <row r="6" spans="2:3" ht="12.75">
      <c r="B6" s="18" t="s">
        <v>13</v>
      </c>
      <c r="C6" s="2">
        <v>30</v>
      </c>
    </row>
    <row r="7" spans="2:3" ht="12.75">
      <c r="B7" s="18" t="s">
        <v>9</v>
      </c>
      <c r="C7" s="2">
        <v>20</v>
      </c>
    </row>
    <row r="8" spans="2:3" ht="13.5" thickBot="1">
      <c r="B8" s="19" t="s">
        <v>10</v>
      </c>
      <c r="C8" s="4">
        <v>34000</v>
      </c>
    </row>
    <row r="9" ht="13.5" thickBot="1"/>
    <row r="10" spans="2:5" ht="13.5" thickBot="1">
      <c r="B10" s="16" t="s">
        <v>7</v>
      </c>
      <c r="C10" s="13" t="s">
        <v>1</v>
      </c>
      <c r="D10" s="14" t="s">
        <v>5</v>
      </c>
      <c r="E10" s="15" t="s">
        <v>2</v>
      </c>
    </row>
    <row r="11" spans="2:5" ht="12.75">
      <c r="B11" s="10" t="s">
        <v>6</v>
      </c>
      <c r="C11" s="7">
        <v>-10</v>
      </c>
      <c r="D11" s="8">
        <v>0</v>
      </c>
      <c r="E11" s="9">
        <v>20</v>
      </c>
    </row>
    <row r="12" spans="2:5" ht="12.75">
      <c r="B12" s="11" t="s">
        <v>0</v>
      </c>
      <c r="C12" s="5">
        <v>7500</v>
      </c>
      <c r="D12" s="1">
        <v>6000</v>
      </c>
      <c r="E12" s="2">
        <v>3000</v>
      </c>
    </row>
    <row r="13" spans="2:5" ht="12.75">
      <c r="B13" s="11" t="s">
        <v>3</v>
      </c>
      <c r="C13" s="5">
        <v>145</v>
      </c>
      <c r="D13" s="1">
        <v>135</v>
      </c>
      <c r="E13" s="2">
        <v>97</v>
      </c>
    </row>
    <row r="14" spans="2:5" ht="13.5" thickBot="1">
      <c r="B14" s="12" t="s">
        <v>4</v>
      </c>
      <c r="C14" s="6">
        <v>70</v>
      </c>
      <c r="D14" s="3">
        <v>66</v>
      </c>
      <c r="E14" s="4">
        <v>65</v>
      </c>
    </row>
    <row r="15" ht="13.5" thickBot="1"/>
    <row r="16" spans="2:3" ht="13.5" thickBot="1">
      <c r="B16" s="16" t="s">
        <v>50</v>
      </c>
      <c r="C16" s="91"/>
    </row>
    <row r="17" spans="2:3" ht="12.75">
      <c r="B17" s="95" t="s">
        <v>52</v>
      </c>
      <c r="C17" s="92">
        <v>4227</v>
      </c>
    </row>
    <row r="18" spans="2:3" ht="12.75">
      <c r="B18" s="11" t="s">
        <v>53</v>
      </c>
      <c r="C18" s="93">
        <v>0.065</v>
      </c>
    </row>
    <row r="19" spans="2:3" ht="12.75">
      <c r="B19" s="11" t="s">
        <v>54</v>
      </c>
      <c r="C19" s="93">
        <v>56.9</v>
      </c>
    </row>
    <row r="20" spans="2:3" ht="12.75">
      <c r="B20" s="11" t="s">
        <v>55</v>
      </c>
      <c r="C20" s="93">
        <v>27</v>
      </c>
    </row>
    <row r="21" spans="2:3" ht="12.75">
      <c r="B21" s="11" t="s">
        <v>56</v>
      </c>
      <c r="C21" s="93">
        <v>10000</v>
      </c>
    </row>
    <row r="22" spans="2:3" ht="13.5" thickBot="1">
      <c r="B22" s="12" t="s">
        <v>63</v>
      </c>
      <c r="C22" s="94">
        <v>1.2</v>
      </c>
    </row>
    <row r="25" spans="2:5" ht="12.75">
      <c r="B25" s="59" t="s">
        <v>51</v>
      </c>
      <c r="C25" s="60">
        <f>C12/3.6*$C$17*(C13-C14)/1000000</f>
        <v>660.46875</v>
      </c>
      <c r="D25" s="60">
        <f>D12/3.6*$C$17*(D13-D14)/1000000</f>
        <v>486.10499999999996</v>
      </c>
      <c r="E25" s="61">
        <f>E12/3.6*$C$17*(E13-E14)/1000000</f>
        <v>112.71999999999998</v>
      </c>
    </row>
    <row r="26" spans="2:5" ht="12.75">
      <c r="B26" s="20" t="s">
        <v>57</v>
      </c>
      <c r="C26" s="62">
        <f>1/(2*3.14*$C$18)*LN(($C$4/2+$C$5+$C6*10)/($C$4/2+$C$5))+1000/(2*3.14*($C$4/2+$C$5+$C6*10)*$C$20)</f>
        <v>0.9863575330451776</v>
      </c>
      <c r="D26" s="62">
        <f>1/(2*3.14*$C$18)*LN(($C$4/2+$C$5+$C6*10)/($C$4/2+$C$5))+1000/(2*3.14*($C$4/2+$C$5+$C6*10)*$C$20)</f>
        <v>0.9863575330451776</v>
      </c>
      <c r="E26" s="63">
        <f>1/(2*3.14*$C$18)*LN(($C$4/2+$C$5+$C6*10)/($C$4/2+$C$5))+1000/(2*3.14*($C$4/2+$C$5+$C6*10)*$C$20)</f>
        <v>0.9863575330451776</v>
      </c>
    </row>
    <row r="27" spans="2:5" ht="12.75">
      <c r="B27" s="21" t="s">
        <v>58</v>
      </c>
      <c r="C27" s="64">
        <f>1/(2*3.14*$C$18)*LN(($C$4/2+$C$5+$C7*10)/($C$4/2+$C$5))+1000/(2*3.14*($C$4/2+$C$5+$C7*10)*$C$20)</f>
        <v>0.7019779480879641</v>
      </c>
      <c r="D27" s="64">
        <f>1/(2*3.14*$C$18)*LN(($C$4/2+$C$5+$C7*10)/($C$4/2+$C$5))+1000/(2*3.14*($C$4/2+$C$5+$C7*10)*$C$20)</f>
        <v>0.7019779480879641</v>
      </c>
      <c r="E27" s="65">
        <f>1/(2*3.14*$C$18)*LN(($C$4/2+$C$5+$C7*10)/($C$4/2+$C$5))+1000/(2*3.14*($C$4/2+$C$5+$C7*10)*$C$20)</f>
        <v>0.7019779480879641</v>
      </c>
    </row>
    <row r="28" spans="2:5" ht="12.75">
      <c r="B28" s="22" t="s">
        <v>59</v>
      </c>
      <c r="C28" s="30">
        <f>(C13-C$11)/C26</f>
        <v>157.14382950112332</v>
      </c>
      <c r="D28" s="30">
        <f>(D13-D$11)/D26</f>
        <v>136.86720633968807</v>
      </c>
      <c r="E28" s="31">
        <f>(E13-E$11)/E26</f>
        <v>78.06499917152578</v>
      </c>
    </row>
    <row r="29" spans="2:5" ht="12.75">
      <c r="B29" s="23" t="s">
        <v>60</v>
      </c>
      <c r="C29" s="32">
        <f>(C14-C$11)/C27</f>
        <v>113.96369389936346</v>
      </c>
      <c r="D29" s="32">
        <f>(D14-D$11)/D27</f>
        <v>94.02004746697486</v>
      </c>
      <c r="E29" s="33">
        <f>(E14-E$11)/E27</f>
        <v>64.10457781839195</v>
      </c>
    </row>
    <row r="30" spans="2:5" ht="12.75">
      <c r="B30" s="22" t="s">
        <v>61</v>
      </c>
      <c r="C30" s="30">
        <f>C28*$C$22</f>
        <v>188.57259540134797</v>
      </c>
      <c r="D30" s="30">
        <f>D28*$C$22</f>
        <v>164.24064760762568</v>
      </c>
      <c r="E30" s="31">
        <f>E28*$C$22</f>
        <v>93.67799900583094</v>
      </c>
    </row>
    <row r="31" spans="2:5" ht="13.5" thickBot="1">
      <c r="B31" s="28" t="s">
        <v>62</v>
      </c>
      <c r="C31" s="66">
        <f>C29*$C$22</f>
        <v>136.75643267923616</v>
      </c>
      <c r="D31" s="66">
        <f>D29*$C$22</f>
        <v>112.82405696036983</v>
      </c>
      <c r="E31" s="67">
        <f>E29*$C$22</f>
        <v>76.92549338207033</v>
      </c>
    </row>
    <row r="32" spans="2:5" ht="12.75">
      <c r="B32" s="89" t="s">
        <v>64</v>
      </c>
      <c r="C32" s="96">
        <f>C30*$C$8/1000000</f>
        <v>6.411468243645831</v>
      </c>
      <c r="D32" s="68">
        <f>D30*$C$8/1000000</f>
        <v>5.584182018659273</v>
      </c>
      <c r="E32" s="69">
        <f>E30*$C$8/1000000</f>
        <v>3.185051966198252</v>
      </c>
    </row>
    <row r="33" spans="2:5" ht="13.5" thickBot="1">
      <c r="B33" s="90" t="s">
        <v>65</v>
      </c>
      <c r="C33" s="97">
        <f>C31*$C$8/1000000</f>
        <v>4.649718711094029</v>
      </c>
      <c r="D33" s="70">
        <f>D31*$C$8/1000000</f>
        <v>3.836017936652574</v>
      </c>
      <c r="E33" s="71">
        <f>E31*$C$8/1000000</f>
        <v>2.615466774990391</v>
      </c>
    </row>
    <row r="34" spans="2:5" ht="13.5" thickBot="1">
      <c r="B34" s="99" t="s">
        <v>66</v>
      </c>
      <c r="C34" s="98">
        <f>C32+C33</f>
        <v>11.06118695473986</v>
      </c>
      <c r="D34" s="72">
        <f>D32+D33</f>
        <v>9.420199955311848</v>
      </c>
      <c r="E34" s="73">
        <f>E32+E33</f>
        <v>5.800518741188643</v>
      </c>
    </row>
    <row r="35" ht="13.5" thickBot="1"/>
    <row r="36" spans="2:5" ht="12.75">
      <c r="B36" s="89" t="s">
        <v>70</v>
      </c>
      <c r="C36" s="87">
        <f>(C32*1000000-Pč!C52*1000)/$C$17/C$12*3.6</f>
        <v>0.46408991355449886</v>
      </c>
      <c r="D36" s="83">
        <f>(D32*1000000-Pč!D52*1000)/$C$17/D$12*3.6</f>
        <v>0.6262901183898809</v>
      </c>
      <c r="E36" s="84">
        <f>(E32*1000000-Pč!E52*1000)/$C$17/E$12*3.6</f>
        <v>0.8642962529494309</v>
      </c>
    </row>
    <row r="37" spans="2:5" ht="13.5" thickBot="1">
      <c r="B37" s="90" t="s">
        <v>71</v>
      </c>
      <c r="C37" s="88">
        <f>(C33*1000000-Pč!C53*1000)/$C$17/C$12*3.6</f>
        <v>0.2904999740983747</v>
      </c>
      <c r="D37" s="85">
        <f>(D33*1000000-Pč!D53*1000)/$C$17/D$12*3.6</f>
        <v>0.3923248814837742</v>
      </c>
      <c r="E37" s="86">
        <f>(E33*1000000-Pč!E53*1000)/$C$17/E$12*3.6</f>
        <v>0.7036995661639264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Havelka</dc:creator>
  <cp:keywords/>
  <dc:description/>
  <cp:lastModifiedBy>Jan Havelka</cp:lastModifiedBy>
  <cp:lastPrinted>2005-12-05T14:54:32Z</cp:lastPrinted>
  <dcterms:created xsi:type="dcterms:W3CDTF">2005-11-29T13:29:19Z</dcterms:created>
  <dcterms:modified xsi:type="dcterms:W3CDTF">2005-12-06T13:39:10Z</dcterms:modified>
  <cp:category/>
  <cp:version/>
  <cp:contentType/>
  <cp:contentStatus/>
</cp:coreProperties>
</file>